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_oakt\Desktop\HSA Calculator 2021\"/>
    </mc:Choice>
  </mc:AlternateContent>
  <xr:revisionPtr revIDLastSave="0" documentId="13_ncr:1_{368C2A48-F615-43D4-9961-7C319F0DBB8A}" xr6:coauthVersionLast="45" xr6:coauthVersionMax="45" xr10:uidLastSave="{00000000-0000-0000-0000-000000000000}"/>
  <workbookProtection workbookAlgorithmName="SHA-512" workbookHashValue="Og/z/CuqjsmziIuMflS7l3J7B5iDx7j2A3XTUOIwehLju6zkyt7mLA2RWWo1FwmrRKHnW/JlqxZLmBH4r6V+jw==" workbookSaltValue="PqvVefsioCE4+34hGT9oTg==" workbookSpinCount="100000" lockStructure="1"/>
  <bookViews>
    <workbookView xWindow="-120" yWindow="-120" windowWidth="29040" windowHeight="15840" activeTab="1" xr2:uid="{0FFBD20E-B2EE-44E4-BE60-B1D8CBEB88D2}"/>
  </bookViews>
  <sheets>
    <sheet name="Instructions" sheetId="2" r:id="rId1"/>
    <sheet name="HRA vs. HS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17" i="1" l="1"/>
  <c r="B5" i="1"/>
  <c r="G4" i="1"/>
  <c r="G17" i="1" s="1"/>
  <c r="F27" i="1" l="1"/>
  <c r="B26" i="1" l="1"/>
  <c r="G9" i="1" l="1"/>
  <c r="B9" i="1"/>
  <c r="G7" i="1" l="1"/>
  <c r="B7" i="1"/>
  <c r="B6" i="1" l="1"/>
  <c r="G6" i="1"/>
  <c r="G5" i="1"/>
  <c r="G11" i="1" s="1"/>
  <c r="C12" i="1" l="1"/>
  <c r="B12" i="1" s="1"/>
  <c r="B11" i="1"/>
  <c r="H12" i="1"/>
  <c r="G12" i="1" s="1"/>
  <c r="B15" i="1" l="1"/>
  <c r="G15" i="1"/>
  <c r="B14" i="1"/>
  <c r="G14" i="1"/>
  <c r="H16" i="1" l="1"/>
  <c r="G16" i="1" s="1"/>
  <c r="G19" i="1" s="1"/>
  <c r="C16" i="1"/>
  <c r="B16" i="1" s="1"/>
  <c r="B19" i="1" s="1"/>
</calcChain>
</file>

<file path=xl/sharedStrings.xml><?xml version="1.0" encoding="utf-8"?>
<sst xmlns="http://schemas.openxmlformats.org/spreadsheetml/2006/main" count="65" uniqueCount="50">
  <si>
    <t>HRA</t>
  </si>
  <si>
    <t>Deductible</t>
  </si>
  <si>
    <t>Lilly's Contribution</t>
  </si>
  <si>
    <t>Medical Expenses</t>
  </si>
  <si>
    <t>Annual premium</t>
  </si>
  <si>
    <t>Lilly's contribution</t>
  </si>
  <si>
    <t>Your Total Cost</t>
  </si>
  <si>
    <t>HSA</t>
  </si>
  <si>
    <t>HSA Tax Savings</t>
  </si>
  <si>
    <t>Tax bracket</t>
  </si>
  <si>
    <t>Contribution</t>
  </si>
  <si>
    <t>Tax savings</t>
  </si>
  <si>
    <t>Your net cost</t>
  </si>
  <si>
    <t>Employee only</t>
  </si>
  <si>
    <t>Employee + 1</t>
  </si>
  <si>
    <t>Employee + 3 or more</t>
  </si>
  <si>
    <t>What is your salary range?</t>
  </si>
  <si>
    <t>$10,000-$50,000</t>
  </si>
  <si>
    <t>$50,001-$75,000</t>
  </si>
  <si>
    <t>$75,001-$100,000</t>
  </si>
  <si>
    <t>$100,001-$150,000</t>
  </si>
  <si>
    <t>$150,000+</t>
  </si>
  <si>
    <t>Employee + 2</t>
  </si>
  <si>
    <t>Total Annual Deductible</t>
  </si>
  <si>
    <t>Medical expenses</t>
  </si>
  <si>
    <t>HRA vs. HSA Calculator</t>
  </si>
  <si>
    <t xml:space="preserve">The HRA vs. HSA calculator is for Eli Lilly employees to compare your two health insurance coverage options - the Health Reimbursement Account (HRA) and the Health Savings Account (HSA). </t>
  </si>
  <si>
    <t>Family out-of-pocket maximum</t>
  </si>
  <si>
    <t>Deductible + Coinsurance</t>
  </si>
  <si>
    <t>Coinsurance (10%)</t>
  </si>
  <si>
    <t>Coinsurance (20%)</t>
  </si>
  <si>
    <t xml:space="preserve">This is the amount that you want to assume your medical expenses will be for the year. If a normal year is a few doctor visits, </t>
  </si>
  <si>
    <t xml:space="preserve">this amount could be fairly low. If you know you are going to have surgery you can assume a much higher number. </t>
  </si>
  <si>
    <t>It can help you determine what your costs would be under each plan based on the medical expenses that you experience during the year. The projections are for illustration purposes only</t>
  </si>
  <si>
    <t>How Much Could Your HSA Grow To?</t>
  </si>
  <si>
    <t>Number of Years</t>
  </si>
  <si>
    <t>Balance</t>
  </si>
  <si>
    <t>Rate of Return</t>
  </si>
  <si>
    <t xml:space="preserve">Lilly contributes $800 for individuals and $1,600 for family coverage. </t>
  </si>
  <si>
    <t>It also calculates your tax savings from contributions to the Health Savings Account and what your contributions could grow to if left in your HSA.</t>
  </si>
  <si>
    <t>Annual HSA Contribution*</t>
  </si>
  <si>
    <t>Who is covered?</t>
  </si>
  <si>
    <t>You should consider several different scenarios for this number to see what your costs would be for each plan in each scenario.</t>
  </si>
  <si>
    <t>*Oaktree Financial Advisors Inc. is neither endorsed by nor affiliated with Eli Lilly and Company.</t>
  </si>
  <si>
    <t xml:space="preserve">and are based on the assumptions you select. Deductibles and out-of-pocket maximums used are based on family maximums. Assumes all expenses are in-network. </t>
  </si>
  <si>
    <t>Enter information in the green boxes below then click on the HRA vs. HSA tab at the bottom</t>
  </si>
  <si>
    <t>Premium per pay period</t>
  </si>
  <si>
    <t>www.oaktreeadvisors.com</t>
  </si>
  <si>
    <t>*Maximum contribution to an HSA for 2021 is $3,600 for an individual or $7,200 for a family. Those over age 55 may contribute an additional $1,000.</t>
  </si>
  <si>
    <t>version 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</si>
</sst>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;;;"/>
    <numFmt numFmtId="166" formatCode="&quot;$&quot;#,##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rgb="FF6E6D6D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0.2499465926084170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6" fillId="0" borderId="0" xfId="0" applyFont="1"/>
    <xf numFmtId="166" fontId="0" fillId="2" borderId="0" xfId="1" applyNumberFormat="1" applyFont="1" applyFill="1" applyProtection="1">
      <protection locked="0"/>
    </xf>
    <xf numFmtId="166" fontId="0" fillId="2" borderId="0" xfId="0" applyNumberFormat="1" applyFill="1" applyProtection="1">
      <protection locked="0"/>
    </xf>
    <xf numFmtId="9" fontId="0" fillId="2" borderId="0" xfId="2" applyFont="1" applyFill="1" applyProtection="1"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9" fontId="0" fillId="2" borderId="0" xfId="0" applyNumberFormat="1" applyFill="1" applyProtection="1">
      <protection locked="0"/>
    </xf>
    <xf numFmtId="0" fontId="14" fillId="0" borderId="0" xfId="0" applyFont="1"/>
    <xf numFmtId="166" fontId="5" fillId="2" borderId="0" xfId="1" applyNumberFormat="1" applyFont="1" applyFill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5" fillId="0" borderId="0" xfId="3" applyProtection="1">
      <protection locked="0"/>
    </xf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164" fontId="0" fillId="0" borderId="0" xfId="1" applyNumberFormat="1" applyFont="1" applyProtection="1">
      <protection locked="0"/>
    </xf>
    <xf numFmtId="44" fontId="0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1" fillId="0" borderId="0" xfId="0" applyFont="1" applyProtection="1">
      <protection locked="0"/>
    </xf>
    <xf numFmtId="44" fontId="2" fillId="0" borderId="0" xfId="1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9" fontId="0" fillId="0" borderId="0" xfId="2" applyFont="1" applyProtection="1">
      <protection locked="0"/>
    </xf>
    <xf numFmtId="0" fontId="13" fillId="0" borderId="0" xfId="0" applyFont="1" applyProtection="1">
      <protection locked="0"/>
    </xf>
    <xf numFmtId="164" fontId="0" fillId="0" borderId="0" xfId="0" applyNumberFormat="1" applyProtection="1">
      <protection hidden="1"/>
    </xf>
    <xf numFmtId="166" fontId="0" fillId="0" borderId="0" xfId="0" applyNumberFormat="1" applyProtection="1">
      <protection hidden="1"/>
    </xf>
    <xf numFmtId="166" fontId="0" fillId="0" borderId="0" xfId="1" applyNumberFormat="1" applyFont="1" applyProtection="1">
      <protection hidden="1"/>
    </xf>
    <xf numFmtId="164" fontId="0" fillId="0" borderId="0" xfId="1" applyNumberFormat="1" applyFont="1" applyProtection="1">
      <protection hidden="1"/>
    </xf>
    <xf numFmtId="166" fontId="1" fillId="0" borderId="0" xfId="1" applyNumberFormat="1" applyFont="1" applyFill="1" applyProtection="1">
      <protection hidden="1"/>
    </xf>
    <xf numFmtId="165" fontId="0" fillId="0" borderId="0" xfId="1" applyNumberFormat="1" applyFont="1" applyProtection="1">
      <protection hidden="1"/>
    </xf>
    <xf numFmtId="165" fontId="2" fillId="0" borderId="0" xfId="1" applyNumberFormat="1" applyFont="1" applyProtection="1">
      <protection hidden="1"/>
    </xf>
    <xf numFmtId="165" fontId="0" fillId="0" borderId="0" xfId="0" applyNumberFormat="1" applyProtection="1">
      <protection hidden="1"/>
    </xf>
    <xf numFmtId="166" fontId="11" fillId="0" borderId="0" xfId="1" applyNumberFormat="1" applyFont="1" applyProtection="1">
      <protection hidden="1"/>
    </xf>
    <xf numFmtId="6" fontId="0" fillId="0" borderId="0" xfId="0" applyNumberFormat="1" applyProtection="1">
      <protection hidden="1"/>
    </xf>
    <xf numFmtId="0" fontId="16" fillId="0" borderId="0" xfId="0" applyFo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2</xdr:row>
      <xdr:rowOff>169861</xdr:rowOff>
    </xdr:from>
    <xdr:to>
      <xdr:col>1</xdr:col>
      <xdr:colOff>798196</xdr:colOff>
      <xdr:row>9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8D3C28E-AFD8-4B41-B121-E1C64C706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60411"/>
          <a:ext cx="1464946" cy="12207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788670</xdr:colOff>
      <xdr:row>6</xdr:row>
      <xdr:rowOff>66675</xdr:rowOff>
    </xdr:from>
    <xdr:to>
      <xdr:col>4</xdr:col>
      <xdr:colOff>135254</xdr:colOff>
      <xdr:row>13</xdr:row>
      <xdr:rowOff>85724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13846C-B369-4235-AF75-FB428538C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9020" y="1609725"/>
          <a:ext cx="1623059" cy="1352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aktreeadvisor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aktreeadviso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808B4-B56F-4F5B-84DC-B1167C080623}">
  <sheetPr>
    <pageSetUpPr fitToPage="1"/>
  </sheetPr>
  <dimension ref="A2:G30"/>
  <sheetViews>
    <sheetView showGridLines="0" workbookViewId="0">
      <selection activeCell="A30" sqref="A30"/>
    </sheetView>
  </sheetViews>
  <sheetFormatPr defaultRowHeight="15" x14ac:dyDescent="0.25"/>
  <cols>
    <col min="1" max="1" width="14.28515625" customWidth="1"/>
    <col min="2" max="3" width="16.7109375" bestFit="1" customWidth="1"/>
    <col min="4" max="4" width="18" bestFit="1" customWidth="1"/>
    <col min="5" max="5" width="29.42578125" customWidth="1"/>
    <col min="6" max="6" width="21.5703125" customWidth="1"/>
    <col min="7" max="7" width="9.28515625" customWidth="1"/>
    <col min="9" max="9" width="14.85546875" customWidth="1"/>
  </cols>
  <sheetData>
    <row r="2" spans="1:7" s="12" customFormat="1" ht="31.5" x14ac:dyDescent="0.5">
      <c r="A2" s="11" t="s">
        <v>25</v>
      </c>
    </row>
    <row r="4" spans="1:7" x14ac:dyDescent="0.25">
      <c r="C4" t="s">
        <v>26</v>
      </c>
    </row>
    <row r="5" spans="1:7" x14ac:dyDescent="0.25">
      <c r="C5" t="s">
        <v>33</v>
      </c>
    </row>
    <row r="6" spans="1:7" x14ac:dyDescent="0.25">
      <c r="C6" t="s">
        <v>44</v>
      </c>
    </row>
    <row r="8" spans="1:7" s="1" customFormat="1" ht="15.75" x14ac:dyDescent="0.25">
      <c r="C8" s="1" t="s">
        <v>39</v>
      </c>
    </row>
    <row r="9" spans="1:7" s="1" customFormat="1" ht="15.75" x14ac:dyDescent="0.25"/>
    <row r="10" spans="1:7" ht="15.75" x14ac:dyDescent="0.25">
      <c r="C10" s="2" t="s">
        <v>45</v>
      </c>
    </row>
    <row r="11" spans="1:7" s="1" customFormat="1" ht="15.75" hidden="1" x14ac:dyDescent="0.25">
      <c r="B11" s="1" t="s">
        <v>13</v>
      </c>
      <c r="C11" s="1" t="s">
        <v>14</v>
      </c>
      <c r="D11" s="1" t="s">
        <v>22</v>
      </c>
      <c r="E11" s="1" t="s">
        <v>15</v>
      </c>
    </row>
    <row r="12" spans="1:7" s="1" customFormat="1" ht="15.75" hidden="1" x14ac:dyDescent="0.25">
      <c r="B12" s="1" t="s">
        <v>17</v>
      </c>
      <c r="C12" s="1" t="s">
        <v>18</v>
      </c>
      <c r="D12" s="1" t="s">
        <v>19</v>
      </c>
      <c r="E12" s="1" t="s">
        <v>20</v>
      </c>
      <c r="F12" s="1" t="s">
        <v>21</v>
      </c>
    </row>
    <row r="13" spans="1:7" s="1" customFormat="1" ht="15.75" x14ac:dyDescent="0.25"/>
    <row r="14" spans="1:7" ht="15.75" x14ac:dyDescent="0.25">
      <c r="E14" s="2" t="s">
        <v>41</v>
      </c>
      <c r="F14" s="7" t="s">
        <v>22</v>
      </c>
      <c r="G14" s="1"/>
    </row>
    <row r="16" spans="1:7" ht="15.75" x14ac:dyDescent="0.25">
      <c r="E16" s="2" t="s">
        <v>16</v>
      </c>
      <c r="F16" s="7" t="s">
        <v>21</v>
      </c>
      <c r="G16" s="1"/>
    </row>
    <row r="18" spans="1:6" ht="15.75" x14ac:dyDescent="0.25">
      <c r="E18" s="2" t="s">
        <v>24</v>
      </c>
      <c r="F18" s="10">
        <v>10000</v>
      </c>
    </row>
    <row r="19" spans="1:6" x14ac:dyDescent="0.25">
      <c r="E19" t="s">
        <v>31</v>
      </c>
    </row>
    <row r="20" spans="1:6" x14ac:dyDescent="0.25">
      <c r="E20" t="s">
        <v>32</v>
      </c>
    </row>
    <row r="21" spans="1:6" x14ac:dyDescent="0.25">
      <c r="E21" t="s">
        <v>42</v>
      </c>
    </row>
    <row r="22" spans="1:6" x14ac:dyDescent="0.25">
      <c r="A22" s="43" t="s">
        <v>49</v>
      </c>
    </row>
    <row r="29" spans="1:6" x14ac:dyDescent="0.25">
      <c r="C29" s="9" t="s">
        <v>43</v>
      </c>
    </row>
    <row r="30" spans="1:6" s="14" customFormat="1" x14ac:dyDescent="0.25">
      <c r="A30" s="13" t="s">
        <v>47</v>
      </c>
    </row>
  </sheetData>
  <sheetProtection sheet="1" selectLockedCells="1"/>
  <dataValidations count="3">
    <dataValidation type="list" allowBlank="1" showInputMessage="1" showErrorMessage="1" sqref="F14" xr:uid="{CB1CDF14-026D-4E45-A849-E393D31A5D25}">
      <formula1>$B$11:$E$11</formula1>
    </dataValidation>
    <dataValidation type="list" allowBlank="1" showInputMessage="1" showErrorMessage="1" sqref="F16" xr:uid="{FE7CB808-0C12-44DD-BE6D-139B0EB73BA8}">
      <formula1>$B$12:$F$12</formula1>
    </dataValidation>
    <dataValidation type="whole" operator="greaterThanOrEqual" allowBlank="1" showErrorMessage="1" errorTitle="Enter a dollar amount" error="Enter a whole dollar amount" promptTitle="Medical Expenses" prompt="_x000a_" sqref="F18" xr:uid="{F0868B47-3E19-43C5-9E6D-DAC092CEF2E3}">
      <formula1>0</formula1>
    </dataValidation>
  </dataValidations>
  <hyperlinks>
    <hyperlink ref="A30" r:id="rId1" xr:uid="{EB7BBE72-7C53-472D-B945-FFC5690164B8}"/>
  </hyperlinks>
  <pageMargins left="0.7" right="0.7" top="0.75" bottom="0.75" header="0.3" footer="0.3"/>
  <pageSetup scale="66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E4D1D-C238-4093-99ED-AF484CCF73D2}">
  <sheetPr>
    <pageSetUpPr fitToPage="1"/>
  </sheetPr>
  <dimension ref="A2:S34"/>
  <sheetViews>
    <sheetView showGridLines="0" tabSelected="1" workbookViewId="0">
      <selection activeCell="I27" sqref="I27"/>
    </sheetView>
  </sheetViews>
  <sheetFormatPr defaultRowHeight="15" x14ac:dyDescent="0.25"/>
  <cols>
    <col min="1" max="1" width="29.42578125" style="14" bestFit="1" customWidth="1"/>
    <col min="2" max="2" width="12.5703125" style="14" bestFit="1" customWidth="1"/>
    <col min="3" max="3" width="20.7109375" style="14" customWidth="1"/>
    <col min="4" max="4" width="13.42578125" style="14" customWidth="1"/>
    <col min="5" max="5" width="10.85546875" style="14" customWidth="1"/>
    <col min="6" max="6" width="29.42578125" style="14" bestFit="1" customWidth="1"/>
    <col min="7" max="7" width="12.5703125" style="14" bestFit="1" customWidth="1"/>
    <col min="8" max="8" width="11.5703125" style="14" customWidth="1"/>
    <col min="9" max="9" width="15.140625" style="14" bestFit="1" customWidth="1"/>
    <col min="10" max="10" width="19.28515625" style="14" customWidth="1"/>
    <col min="11" max="11" width="12.7109375" style="14" customWidth="1"/>
    <col min="12" max="15" width="9.140625" style="14"/>
    <col min="16" max="16" width="11.7109375" style="14" customWidth="1"/>
    <col min="17" max="17" width="12.85546875" style="14" customWidth="1"/>
    <col min="18" max="16384" width="9.140625" style="14"/>
  </cols>
  <sheetData>
    <row r="2" spans="1:19" hidden="1" x14ac:dyDescent="0.25">
      <c r="A2" s="15">
        <v>0.1</v>
      </c>
      <c r="B2" s="15">
        <v>0.12</v>
      </c>
      <c r="C2" s="15">
        <v>0.22</v>
      </c>
      <c r="D2" s="15">
        <v>0.24</v>
      </c>
      <c r="E2" s="15">
        <v>0.32</v>
      </c>
      <c r="F2" s="15">
        <v>0.35</v>
      </c>
      <c r="G2" s="15">
        <v>0.37</v>
      </c>
    </row>
    <row r="3" spans="1:19" s="17" customFormat="1" ht="31.5" x14ac:dyDescent="0.5">
      <c r="A3" s="16" t="s">
        <v>0</v>
      </c>
      <c r="F3" s="16" t="s">
        <v>7</v>
      </c>
    </row>
    <row r="4" spans="1:19" x14ac:dyDescent="0.25">
      <c r="A4" s="18" t="s">
        <v>46</v>
      </c>
      <c r="B4" s="33">
        <f>_xlfn.IFS(Instructions!F14="Employee only",53.08,Instructions!F14="Employee + 1",106.16,Instructions!F14="Employee + 2",159.24,Instructions!F14="Employee + 3 or more",212.32,TRUE,"")</f>
        <v>159.24</v>
      </c>
      <c r="F4" s="18" t="s">
        <v>46</v>
      </c>
      <c r="G4" s="36">
        <f>_xlfn.IFS(Instructions!F14="Employee only",42.23,Instructions!F14="Employee + 1",84.46,Instructions!F14="Employee + 2",126.69,Instructions!F14="Employee + 3 or more",168.92,TRUE,"")</f>
        <v>126.69</v>
      </c>
      <c r="M4" s="15"/>
      <c r="N4" s="15"/>
      <c r="O4" s="15"/>
      <c r="P4" s="15"/>
      <c r="Q4" s="15"/>
      <c r="R4" s="15"/>
      <c r="S4" s="15"/>
    </row>
    <row r="5" spans="1:19" x14ac:dyDescent="0.25">
      <c r="A5" s="18" t="s">
        <v>23</v>
      </c>
      <c r="B5" s="34">
        <f>_xlfn.IFS(Instructions!F14="Employee only",1600,Instructions!F14="Employee + 1",2400,Instructions!F14="Employee + 2",3200,Instructions!F14="Employee + 3 or more",3200,TRUE,"")</f>
        <v>3200</v>
      </c>
      <c r="F5" s="18" t="s">
        <v>23</v>
      </c>
      <c r="G5" s="35">
        <f>_xlfn.IFS(Instructions!F14="Employee only",1400,Instructions!F14="Employee + 1",2800,Instructions!F14="Employee + 2",2800,Instructions!F14="Employee + 3 or more",2800,TRUE,"")</f>
        <v>2800</v>
      </c>
    </row>
    <row r="6" spans="1:19" x14ac:dyDescent="0.25">
      <c r="A6" s="18" t="s">
        <v>2</v>
      </c>
      <c r="B6" s="35">
        <f>_xlfn.IFS(Instructions!F14="Employee only",1000,Instructions!F14="Employee + 1",1500,Instructions!F14="Employee + 2",2000,Instructions!F14="Employee + 3 or more",2000,TRUE,"")</f>
        <v>2000</v>
      </c>
      <c r="F6" s="18" t="s">
        <v>2</v>
      </c>
      <c r="G6" s="35">
        <f>_xlfn.IFS(Instructions!F14="Employee only",800,Instructions!F14="Employee + 1",1600,Instructions!F14="Employee + 2",1600,Instructions!F14="Employee + 3 or more",1600,TRUE,"")</f>
        <v>1600</v>
      </c>
    </row>
    <row r="7" spans="1:19" x14ac:dyDescent="0.25">
      <c r="A7" s="18" t="s">
        <v>27</v>
      </c>
      <c r="B7" s="35">
        <f>_xlfn.IFS(AND(Instructions!F14="Employee only",Instructions!F16="$10,000-$50,000"),3500,AND(Instructions!F14="Employee only",Instructions!F16="$50,001-$75,000"),4500,AND(Instructions!F14="Employee only",Instructions!F16="$75,001-$100,000"),5500,AND(Instructions!F14="Employee only",Instructions!F16="$100,001-$150,000"),6500,AND(Instructions!F14="Employee only",Instructions!F16="$150,000+"),7500,AND(Instructions!F14="Employee + 1",Instructions!F16="$10,000-$50,000"),5000,AND(Instructions!F14="Employee + 1",Instructions!F16="$50,001-$75,000"),7000,AND(Instructions!F14="Employee + 1",Instructions!F16="$75,001-$100,000"),9000,AND(Instructions!F14="Employee + 1",Instructions!F16="$100,001-$150,000"),11000,AND(Instructions!F14="Employee + 1",Instructions!F16="$150,000+"),13000,AND(Instructions!F14="Employee + 2",Instructions!F16="$10,000-$50,000"),5500,AND(Instructions!F14="Employee + 2",Instructions!F16="$50,001-$75,000"),7500,AND(Instructions!F14="Employee + 2",Instructions!F16="$75,001-$100,000"),9500,AND(Instructions!F14="Employee + 2",Instructions!F16="$100,001-$150,000"),11500,AND(Instructions!F14="Employee + 2",Instructions!F16="$150,000+"),13500,AND(Instructions!F14="Employee + 3 or more",Instructions!F16="$10,000-$50,000"),5500,AND(Instructions!F14="Employee + 3 or more",Instructions!F16="$50,001-$75,000"),7500,AND(Instructions!F14="Employee + 3 or more",Instructions!F16="$75,001-$100,000"),9500,AND(Instructions!F14="Employee + 3 or more",Instructions!F16="$100,001-$150,000"),11500,AND(Instructions!F14="Employee + 3 or more",Instructions!F16="$150,000+"),13500,TRUE,"")</f>
        <v>13500</v>
      </c>
      <c r="F7" s="18" t="s">
        <v>27</v>
      </c>
      <c r="G7" s="35">
        <f>_xlfn.IFS(AND(Instructions!F14="Employee only",Instructions!F16="$10,000-$50,000"),3300,AND(Instructions!F14="Employee only",Instructions!F16="$50,001-$75,000"),4300,AND(Instructions!F14="Employee only",Instructions!F16="$75,001-$100,000"),5300,AND(Instructions!F14="Employee only",Instructions!F16="$100,001-$150,000"),6300,AND(Instructions!F14="Employee only",Instructions!F16="$150,000+"),6900,AND(Instructions!F14="Employee + 1",Instructions!F16="$10,000-$50,000"),5100,AND(Instructions!F14="Employee + 1",Instructions!F16="$50,001-$75,000"),7100,AND(Instructions!F14="Employee + 1",Instructions!F16="$75,001-$100,000"),9100,AND(Instructions!F14="Employee + 1",Instructions!F16="$100,001-$150,000"),11100,AND(Instructions!F14="Employee + 1",Instructions!F16="$150,000+"),13100,AND(Instructions!F14="Employee + 2",Instructions!F16="$10,000-$50,000"),5100,AND(Instructions!F14="Employee + 2",Instructions!F16="$50,001-$75,000"),7100,AND(Instructions!F14="Employee + 2",Instructions!F16="$75,001-$100,000"),9100,AND(Instructions!F14="Employee + 2",Instructions!F16="$100,001-$150,000"),11100,AND(Instructions!F14="Employee + 2",Instructions!F16="$150,000+"),13100,AND(Instructions!F14="Employee + 3 or more",Instructions!F16="$10,000-$50,000"),5100,AND(Instructions!F14="Employee + 3 or more",Instructions!F16="$50,001-$75,000"),7100,AND(Instructions!F14="Employee + 3 or more",Instructions!F16="$75,001-$100,000"),9100,AND(Instructions!F14="Employee + 3 or more",Instructions!F16="$100,001-$150,000"),11100,AND(Instructions!F14="Employee + 3 or more",Instructions!F16="$150,000+"),13100,TRUE,"")</f>
        <v>13100</v>
      </c>
    </row>
    <row r="8" spans="1:19" x14ac:dyDescent="0.25">
      <c r="A8" s="18"/>
      <c r="F8" s="18"/>
      <c r="G8" s="21"/>
    </row>
    <row r="9" spans="1:19" s="23" customFormat="1" x14ac:dyDescent="0.25">
      <c r="A9" s="22" t="s">
        <v>3</v>
      </c>
      <c r="B9" s="37">
        <f>Instructions!F18</f>
        <v>10000</v>
      </c>
      <c r="F9" s="22" t="s">
        <v>3</v>
      </c>
      <c r="G9" s="37">
        <f>Instructions!F18</f>
        <v>10000</v>
      </c>
    </row>
    <row r="10" spans="1:19" x14ac:dyDescent="0.25">
      <c r="G10" s="21"/>
    </row>
    <row r="11" spans="1:19" x14ac:dyDescent="0.25">
      <c r="A11" s="14" t="s">
        <v>1</v>
      </c>
      <c r="B11" s="35">
        <f>IF(B9&lt;B5,B9,B5)</f>
        <v>3200</v>
      </c>
      <c r="F11" s="14" t="s">
        <v>1</v>
      </c>
      <c r="G11" s="35">
        <f>IF(G9&lt;G5,G9,G5)</f>
        <v>2800</v>
      </c>
    </row>
    <row r="12" spans="1:19" x14ac:dyDescent="0.25">
      <c r="A12" s="14" t="s">
        <v>29</v>
      </c>
      <c r="B12" s="34">
        <f>IF(C12&gt;0,C12,0)</f>
        <v>680</v>
      </c>
      <c r="C12" s="38">
        <f>MIN(B7-B5,(B9-B5)*0.1)</f>
        <v>680</v>
      </c>
      <c r="F12" s="14" t="s">
        <v>30</v>
      </c>
      <c r="G12" s="35">
        <f>IF(H12&gt;0,H12,0)</f>
        <v>1440</v>
      </c>
      <c r="H12" s="39">
        <f>MIN(G7-G5,(G9-G5)*0.2)</f>
        <v>1440</v>
      </c>
      <c r="J12" s="23"/>
    </row>
    <row r="13" spans="1:19" x14ac:dyDescent="0.25">
      <c r="B13" s="19"/>
      <c r="C13" s="21"/>
      <c r="G13" s="20"/>
      <c r="H13" s="24"/>
      <c r="J13" s="23"/>
    </row>
    <row r="14" spans="1:19" x14ac:dyDescent="0.25">
      <c r="A14" s="14" t="s">
        <v>28</v>
      </c>
      <c r="B14" s="35">
        <f>B11+B12</f>
        <v>3880</v>
      </c>
      <c r="F14" s="14" t="s">
        <v>28</v>
      </c>
      <c r="G14" s="35">
        <f>G11+G12</f>
        <v>4240</v>
      </c>
      <c r="I14" s="23"/>
      <c r="J14" s="23"/>
    </row>
    <row r="15" spans="1:19" x14ac:dyDescent="0.25">
      <c r="A15" s="14" t="s">
        <v>5</v>
      </c>
      <c r="B15" s="35">
        <f>B6</f>
        <v>2000</v>
      </c>
      <c r="F15" s="14" t="s">
        <v>5</v>
      </c>
      <c r="G15" s="35">
        <f>G6</f>
        <v>1600</v>
      </c>
    </row>
    <row r="16" spans="1:19" x14ac:dyDescent="0.25">
      <c r="A16" s="14" t="s">
        <v>12</v>
      </c>
      <c r="B16" s="35">
        <f>IF(C16&gt;0,C16,0)</f>
        <v>1880</v>
      </c>
      <c r="C16" s="40">
        <f>B14-B15</f>
        <v>1880</v>
      </c>
      <c r="F16" s="14" t="s">
        <v>12</v>
      </c>
      <c r="G16" s="35">
        <f>IF(H16&gt;0,H16,0)</f>
        <v>2640</v>
      </c>
      <c r="H16" s="40">
        <f>G14-G15</f>
        <v>2640</v>
      </c>
    </row>
    <row r="17" spans="1:17" x14ac:dyDescent="0.25">
      <c r="A17" s="14" t="s">
        <v>4</v>
      </c>
      <c r="B17" s="35">
        <f>B4*26</f>
        <v>4140.24</v>
      </c>
      <c r="F17" s="14" t="s">
        <v>4</v>
      </c>
      <c r="G17" s="35">
        <f>G4*26</f>
        <v>3293.94</v>
      </c>
    </row>
    <row r="18" spans="1:17" x14ac:dyDescent="0.25">
      <c r="B18" s="21"/>
      <c r="G18" s="21"/>
    </row>
    <row r="19" spans="1:17" s="26" customFormat="1" ht="18.75" x14ac:dyDescent="0.3">
      <c r="A19" s="25" t="s">
        <v>6</v>
      </c>
      <c r="B19" s="41">
        <f>B16+B17</f>
        <v>6020.24</v>
      </c>
      <c r="F19" s="25" t="s">
        <v>6</v>
      </c>
      <c r="G19" s="41">
        <f>G16+G17</f>
        <v>5933.9400000000005</v>
      </c>
    </row>
    <row r="21" spans="1:17" s="27" customFormat="1" ht="15.75" customHeight="1" x14ac:dyDescent="0.25"/>
    <row r="22" spans="1:17" ht="23.25" x14ac:dyDescent="0.35">
      <c r="A22" s="28" t="s">
        <v>8</v>
      </c>
      <c r="D22" s="28" t="s">
        <v>34</v>
      </c>
      <c r="E22" s="28"/>
      <c r="F22" s="28"/>
    </row>
    <row r="23" spans="1:17" x14ac:dyDescent="0.25">
      <c r="A23" s="22" t="s">
        <v>9</v>
      </c>
      <c r="B23" s="8">
        <v>0.22</v>
      </c>
      <c r="C23" s="29"/>
      <c r="D23" s="23" t="s">
        <v>40</v>
      </c>
      <c r="F23" s="4">
        <v>7200</v>
      </c>
    </row>
    <row r="24" spans="1:17" x14ac:dyDescent="0.25">
      <c r="A24" s="30"/>
      <c r="B24" s="15"/>
      <c r="D24" s="23" t="s">
        <v>37</v>
      </c>
      <c r="F24" s="5">
        <v>0.08</v>
      </c>
    </row>
    <row r="25" spans="1:17" x14ac:dyDescent="0.25">
      <c r="A25" s="22" t="s">
        <v>10</v>
      </c>
      <c r="B25" s="3">
        <v>6600</v>
      </c>
      <c r="D25" s="23" t="s">
        <v>35</v>
      </c>
      <c r="F25" s="6">
        <v>15</v>
      </c>
    </row>
    <row r="26" spans="1:17" x14ac:dyDescent="0.25">
      <c r="A26" s="14" t="s">
        <v>11</v>
      </c>
      <c r="B26" s="35">
        <f>B23*B25</f>
        <v>1452</v>
      </c>
      <c r="C26" s="23"/>
    </row>
    <row r="27" spans="1:17" x14ac:dyDescent="0.25">
      <c r="D27" s="14" t="s">
        <v>36</v>
      </c>
      <c r="F27" s="42">
        <f>FV(F24,F25, -F23,,1)</f>
        <v>211134.83790007199</v>
      </c>
    </row>
    <row r="29" spans="1:17" ht="14.25" customHeight="1" x14ac:dyDescent="0.25">
      <c r="A29" s="14" t="s">
        <v>48</v>
      </c>
    </row>
    <row r="30" spans="1:17" x14ac:dyDescent="0.25">
      <c r="A30" s="14" t="s">
        <v>38</v>
      </c>
    </row>
    <row r="32" spans="1:17" hidden="1" x14ac:dyDescent="0.25">
      <c r="H32" s="31">
        <v>0.01</v>
      </c>
      <c r="I32" s="31">
        <v>0.02</v>
      </c>
      <c r="J32" s="31">
        <v>0.03</v>
      </c>
      <c r="K32" s="31">
        <v>0.04</v>
      </c>
      <c r="L32" s="31">
        <v>0.05</v>
      </c>
      <c r="M32" s="31">
        <v>0.06</v>
      </c>
      <c r="N32" s="31">
        <v>7.0000000000000007E-2</v>
      </c>
      <c r="O32" s="31">
        <v>0.08</v>
      </c>
      <c r="P32" s="31">
        <v>0.09</v>
      </c>
      <c r="Q32" s="31">
        <v>0.1</v>
      </c>
    </row>
    <row r="33" spans="1:1" x14ac:dyDescent="0.25">
      <c r="A33" s="32" t="s">
        <v>43</v>
      </c>
    </row>
    <row r="34" spans="1:1" x14ac:dyDescent="0.25">
      <c r="A34" s="13" t="s">
        <v>47</v>
      </c>
    </row>
  </sheetData>
  <sheetProtection selectLockedCells="1"/>
  <dataValidations xWindow="919" yWindow="729" count="5">
    <dataValidation type="list" allowBlank="1" showInputMessage="1" showErrorMessage="1" sqref="B23" xr:uid="{5DE8A9CE-38D9-40B5-A17A-102BD08A49FF}">
      <formula1>$A$2:$G$2</formula1>
    </dataValidation>
    <dataValidation type="whole" allowBlank="1" showInputMessage="1" showErrorMessage="1" error="Enter a whole dollar amount up to $6,600" promptTitle="Maximum Contribution Alert" prompt="Maximum limit is $2,800 for Employee only, $5,600 for Employee + 1 or more. _x000a__x000a_Those age 55 and older can contribute $1,000 more. " sqref="B25" xr:uid="{0836A610-5D73-4EA8-B1D0-97D67564CC2C}">
      <formula1>0</formula1>
      <formula2>6600</formula2>
    </dataValidation>
    <dataValidation type="whole" allowBlank="1" showInputMessage="1" showErrorMessage="1" error="Enter a whole dollar amount up to $8,200" promptTitle="Maximum Contribution Alert" prompt="Maximum contribution for 2021 is $3,600 for an individual or $7,200 for a family. Lilly contributes $800 for individuals and $1,600 for family coverage. Their contribution counts toward the maximum. _x000a__x000a_Those over age 55 may contribute an additional $1,000." sqref="F23" xr:uid="{1B3849A4-45B9-4BDC-847F-C67A8D17941B}">
      <formula1>0</formula1>
      <formula2>8200</formula2>
    </dataValidation>
    <dataValidation type="whole" allowBlank="1" showInputMessage="1" showErrorMessage="1" error="Please enter a number between 0 and 50" sqref="F25" xr:uid="{B1EDC5F4-F45F-4EA7-B14C-9BCE41CEA9EB}">
      <formula1>0</formula1>
      <formula2>50</formula2>
    </dataValidation>
    <dataValidation type="list" allowBlank="1" showInputMessage="1" sqref="F24" xr:uid="{00D714C1-7B71-4538-8B08-CD5493D555FE}">
      <formula1>$H$32:$Q$32</formula1>
    </dataValidation>
  </dataValidations>
  <hyperlinks>
    <hyperlink ref="A34" r:id="rId1" xr:uid="{E38F3AAC-F48F-443C-8FA4-EAF62CBEDEAA}"/>
  </hyperlinks>
  <pageMargins left="0.7" right="0.7" top="0.75" bottom="0.75" header="0.3" footer="0.3"/>
  <pageSetup scale="87" orientation="landscape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HRA vs. HSA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Snyder</dc:creator>
  <cp:lastModifiedBy>Edward Snyder</cp:lastModifiedBy>
  <cp:lastPrinted>2019-10-23T19:21:18Z</cp:lastPrinted>
  <dcterms:created xsi:type="dcterms:W3CDTF">2018-10-17T14:00:14Z</dcterms:created>
  <dcterms:modified xsi:type="dcterms:W3CDTF">2020-10-26T17:50:36Z</dcterms:modified>
</cp:coreProperties>
</file>